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/>
  <mc:AlternateContent xmlns:mc="http://schemas.openxmlformats.org/markup-compatibility/2006">
    <mc:Choice Requires="x15">
      <x15ac:absPath xmlns:x15ac="http://schemas.microsoft.com/office/spreadsheetml/2010/11/ac" url="I:\TIP-STIP\FY 2024-2027\"/>
    </mc:Choice>
  </mc:AlternateContent>
  <xr:revisionPtr revIDLastSave="0" documentId="13_ncr:1_{2EAED0AD-26F8-49BC-8056-062E3559FC30}" xr6:coauthVersionLast="36" xr6:coauthVersionMax="36" xr10:uidLastSave="{00000000-0000-0000-0000-000000000000}"/>
  <bookViews>
    <workbookView xWindow="0" yWindow="0" windowWidth="21600" windowHeight="951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Sheet1!$A$1:$O$33</definedName>
  </definedNames>
  <calcPr calcId="191029"/>
</workbook>
</file>

<file path=xl/calcChain.xml><?xml version="1.0" encoding="utf-8"?>
<calcChain xmlns="http://schemas.openxmlformats.org/spreadsheetml/2006/main">
  <c r="O23" i="1" l="1"/>
  <c r="O25" i="1" s="1"/>
  <c r="O26" i="1" s="1"/>
  <c r="O29" i="1" s="1"/>
  <c r="O19" i="1"/>
  <c r="O11" i="1"/>
  <c r="O12" i="1"/>
  <c r="O13" i="1" s="1"/>
  <c r="O14" i="1" s="1"/>
  <c r="O10" i="1"/>
  <c r="O9" i="1"/>
  <c r="O6" i="1"/>
  <c r="O5" i="1"/>
  <c r="O4" i="1"/>
  <c r="R9" i="1" l="1"/>
  <c r="N6" i="1"/>
  <c r="N7" i="1"/>
  <c r="N8" i="1"/>
  <c r="N9" i="1"/>
  <c r="N10" i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5" i="1"/>
  <c r="N4" i="1"/>
  <c r="M17" i="1"/>
  <c r="M14" i="1"/>
  <c r="Y14" i="1"/>
  <c r="Y17" i="1"/>
  <c r="E17" i="1"/>
  <c r="E14" i="1"/>
  <c r="X11" i="1"/>
  <c r="Y11" i="1" s="1"/>
  <c r="X25" i="1"/>
  <c r="X8" i="1"/>
  <c r="Y8" i="1" s="1"/>
  <c r="W20" i="1"/>
  <c r="W18" i="1"/>
  <c r="Y18" i="1" s="1"/>
  <c r="X15" i="1"/>
  <c r="Y15" i="1" s="1"/>
  <c r="W31" i="1"/>
  <c r="R31" i="1"/>
  <c r="X31" i="1"/>
  <c r="X28" i="1"/>
  <c r="Y28" i="1" s="1"/>
  <c r="R28" i="1"/>
  <c r="W28" i="1"/>
  <c r="W7" i="1"/>
  <c r="X7" i="1"/>
  <c r="R7" i="1"/>
  <c r="Q7" i="1"/>
  <c r="W27" i="1"/>
  <c r="R27" i="1"/>
  <c r="X27" i="1"/>
  <c r="Y27" i="1" s="1"/>
  <c r="X26" i="1"/>
  <c r="X29" i="1"/>
  <c r="Y29" i="1" s="1"/>
  <c r="X9" i="1"/>
  <c r="X6" i="1"/>
  <c r="Y6" i="1" s="1"/>
  <c r="R6" i="1"/>
  <c r="X30" i="1"/>
  <c r="W30" i="1"/>
  <c r="Y30" i="1" s="1"/>
  <c r="R30" i="1"/>
  <c r="W24" i="1"/>
  <c r="X24" i="1"/>
  <c r="Y24" i="1" s="1"/>
  <c r="Q13" i="1"/>
  <c r="X13" i="1"/>
  <c r="X20" i="1"/>
  <c r="Y20" i="1" s="1"/>
  <c r="X18" i="1"/>
  <c r="Y25" i="1"/>
  <c r="Y4" i="1"/>
  <c r="Y22" i="1"/>
  <c r="Y9" i="1"/>
  <c r="Y26" i="1"/>
  <c r="Y31" i="1"/>
  <c r="X16" i="1"/>
  <c r="Y16" i="1" s="1"/>
  <c r="X21" i="1"/>
  <c r="Y21" i="1" s="1"/>
  <c r="X19" i="1"/>
  <c r="Y19" i="1" s="1"/>
  <c r="X5" i="1"/>
  <c r="Y5" i="1" s="1"/>
  <c r="X10" i="1"/>
  <c r="Y10" i="1" s="1"/>
  <c r="X12" i="1"/>
  <c r="Y12" i="1" s="1"/>
  <c r="X23" i="1"/>
  <c r="Y23" i="1" s="1"/>
  <c r="V22" i="1"/>
  <c r="E26" i="1"/>
  <c r="M26" i="1"/>
  <c r="E27" i="1"/>
  <c r="M27" i="1"/>
  <c r="M22" i="1"/>
  <c r="M13" i="1"/>
  <c r="M24" i="1"/>
  <c r="M30" i="1"/>
  <c r="M6" i="1"/>
  <c r="M9" i="1"/>
  <c r="M29" i="1"/>
  <c r="M7" i="1"/>
  <c r="M28" i="1"/>
  <c r="M31" i="1"/>
  <c r="M23" i="1"/>
  <c r="E22" i="1"/>
  <c r="E13" i="1"/>
  <c r="E24" i="1"/>
  <c r="E30" i="1"/>
  <c r="E6" i="1"/>
  <c r="E9" i="1"/>
  <c r="E29" i="1"/>
  <c r="E7" i="1"/>
  <c r="E28" i="1"/>
  <c r="E31" i="1"/>
  <c r="E23" i="1"/>
  <c r="Y7" i="1" l="1"/>
  <c r="Y13" i="1"/>
  <c r="U12" i="1"/>
  <c r="S12" i="1"/>
  <c r="U10" i="1"/>
  <c r="T10" i="1"/>
  <c r="S10" i="1"/>
  <c r="U11" i="1"/>
  <c r="U4" i="1" l="1"/>
  <c r="T5" i="1"/>
  <c r="V5" i="1" s="1"/>
  <c r="U5" i="1" s="1"/>
  <c r="S5" i="1"/>
  <c r="T19" i="1"/>
  <c r="S19" i="1"/>
  <c r="T21" i="1"/>
  <c r="V21" i="1" s="1"/>
  <c r="U21" i="1" s="1"/>
  <c r="S21" i="1"/>
  <c r="U16" i="1"/>
  <c r="T16" i="1"/>
  <c r="V16" i="1" s="1"/>
  <c r="S16" i="1"/>
  <c r="U25" i="1"/>
  <c r="T25" i="1"/>
  <c r="V25" i="1" s="1"/>
  <c r="S25" i="1"/>
  <c r="U8" i="1"/>
  <c r="S8" i="1"/>
  <c r="T20" i="1"/>
  <c r="V18" i="1"/>
  <c r="V20" i="1"/>
  <c r="V8" i="1"/>
  <c r="V4" i="1"/>
  <c r="V19" i="1"/>
  <c r="U19" i="1" s="1"/>
  <c r="V11" i="1"/>
  <c r="V10" i="1"/>
  <c r="V12" i="1"/>
  <c r="V23" i="1"/>
  <c r="T18" i="1"/>
  <c r="R18" i="1"/>
  <c r="U15" i="1" l="1"/>
  <c r="V15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37" i="1"/>
  <c r="Z38" i="1"/>
  <c r="Z39" i="1"/>
  <c r="Z40" i="1"/>
  <c r="Z41" i="1"/>
  <c r="Z42" i="1"/>
  <c r="Z43" i="1"/>
  <c r="Z44" i="1"/>
  <c r="Z45" i="1"/>
  <c r="Z46" i="1"/>
  <c r="Z47" i="1"/>
  <c r="Z48" i="1"/>
  <c r="Z49" i="1"/>
  <c r="Z37" i="1"/>
  <c r="X50" i="1"/>
  <c r="Y50" i="1"/>
  <c r="W50" i="1"/>
  <c r="E12" i="1"/>
  <c r="E10" i="1"/>
  <c r="E11" i="1"/>
  <c r="E5" i="1"/>
  <c r="E19" i="1"/>
  <c r="E21" i="1"/>
  <c r="E16" i="1"/>
  <c r="E25" i="1"/>
  <c r="E8" i="1"/>
  <c r="E20" i="1"/>
  <c r="E18" i="1"/>
  <c r="E15" i="1"/>
  <c r="M18" i="1"/>
  <c r="M5" i="1"/>
  <c r="M21" i="1"/>
  <c r="M11" i="1"/>
  <c r="M15" i="1"/>
  <c r="M12" i="1"/>
  <c r="M16" i="1"/>
  <c r="M25" i="1"/>
  <c r="M19" i="1"/>
  <c r="M10" i="1"/>
  <c r="M20" i="1"/>
  <c r="M8" i="1"/>
  <c r="E4" i="1"/>
  <c r="AA50" i="1" l="1"/>
  <c r="AA51" i="1" s="1"/>
  <c r="Z50" i="1"/>
  <c r="Z51" i="1" s="1"/>
</calcChain>
</file>

<file path=xl/sharedStrings.xml><?xml version="1.0" encoding="utf-8"?>
<sst xmlns="http://schemas.openxmlformats.org/spreadsheetml/2006/main" count="91" uniqueCount="68">
  <si>
    <t>Sponsor(s)</t>
  </si>
  <si>
    <t>Name of Project</t>
  </si>
  <si>
    <t>SCATS Federal Funds Requested</t>
  </si>
  <si>
    <t>Total Project Cost</t>
  </si>
  <si>
    <t>Local Match</t>
  </si>
  <si>
    <t>Econ. Dev.</t>
  </si>
  <si>
    <t>Planning</t>
  </si>
  <si>
    <t>Safety</t>
  </si>
  <si>
    <t>Traffic</t>
  </si>
  <si>
    <t>Ready</t>
  </si>
  <si>
    <t>STP Score</t>
  </si>
  <si>
    <t>Canton</t>
  </si>
  <si>
    <t>Running Total</t>
  </si>
  <si>
    <t>Preserve</t>
  </si>
  <si>
    <t>* Request for additional funds for an approved project</t>
  </si>
  <si>
    <t>County</t>
  </si>
  <si>
    <t>Cleveland Ave Resurfacing</t>
  </si>
  <si>
    <t>Cleveland &amp; State Intersection</t>
  </si>
  <si>
    <t>Easton &amp; Rosedown Roundabout</t>
  </si>
  <si>
    <t>Everhard Rd Resurfacing</t>
  </si>
  <si>
    <t>North Canton</t>
  </si>
  <si>
    <t>Applegrove St Resurfacing</t>
  </si>
  <si>
    <t>Hills &amp; Dales Rd Resurfacing</t>
  </si>
  <si>
    <t>FY 2024-2027 TIP STBG Projects</t>
  </si>
  <si>
    <t>AADT High</t>
  </si>
  <si>
    <t>AADT Avg</t>
  </si>
  <si>
    <t>CAP Low</t>
  </si>
  <si>
    <t>CAP Avg</t>
  </si>
  <si>
    <t>V/C High</t>
  </si>
  <si>
    <t>V/C Avg</t>
  </si>
  <si>
    <t>Crash</t>
  </si>
  <si>
    <t>Dist</t>
  </si>
  <si>
    <t>V</t>
  </si>
  <si>
    <t>C</t>
  </si>
  <si>
    <t>#12 Dressler &amp; Strip</t>
  </si>
  <si>
    <t>Alliance</t>
  </si>
  <si>
    <t>12th St NW Resurfacing</t>
  </si>
  <si>
    <t>Cleveland Ave Streetscape</t>
  </si>
  <si>
    <t>Ojays &amp; Rowland Intersection</t>
  </si>
  <si>
    <t>Massillon</t>
  </si>
  <si>
    <t>Hess &amp; Tremont Roundabout</t>
  </si>
  <si>
    <t>Lake Ave Intersections</t>
  </si>
  <si>
    <t>Lincoln Way &amp; Main Intersection</t>
  </si>
  <si>
    <t>Tremont &amp; Main Roundabout</t>
  </si>
  <si>
    <t>SARTA</t>
  </si>
  <si>
    <t>Peak-hour
Volume</t>
  </si>
  <si>
    <t>Hourly
Cap</t>
  </si>
  <si>
    <t>Peak V/C</t>
  </si>
  <si>
    <t>#7 21&amp;Lake</t>
  </si>
  <si>
    <t>#9 Trump &amp; Lincoln</t>
  </si>
  <si>
    <t>Easton St Bridge Replacement</t>
  </si>
  <si>
    <t>Glenwood St Resurfacing^</t>
  </si>
  <si>
    <t>Glamorgan St Resurfacing^</t>
  </si>
  <si>
    <t>Mahoning Ave Resurfacing^</t>
  </si>
  <si>
    <t>S Rockhill Ave Resurfacing^</t>
  </si>
  <si>
    <t>Colonial Blvd Phase 1*^</t>
  </si>
  <si>
    <t>US 30 &amp; SR 43 Resurfacing^</t>
  </si>
  <si>
    <t>US 30 Lighting^</t>
  </si>
  <si>
    <t>Bus Replacement^</t>
  </si>
  <si>
    <t>Farber St Bridge Replacement^</t>
  </si>
  <si>
    <t>State St Resurfacing^</t>
  </si>
  <si>
    <t>Strip Ave Widening*^</t>
  </si>
  <si>
    <t>US 30 Extension (Trump - SR 44) RoW^</t>
  </si>
  <si>
    <t>Erie St S Improvements^</t>
  </si>
  <si>
    <t>Erie St N Improvements^</t>
  </si>
  <si>
    <t>^ Also applying for CRRSAA Funds</t>
  </si>
  <si>
    <t>Running Toal for CRRSAA only</t>
  </si>
  <si>
    <t>Previous funding commitment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</si>
</sst>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1" fontId="1" fillId="0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 shrinkToFit="1"/>
    </xf>
    <xf numFmtId="1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/>
    <xf numFmtId="10" fontId="3" fillId="0" borderId="1" xfId="0" applyNumberFormat="1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0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164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center"/>
    </xf>
    <xf numFmtId="10" fontId="3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  <xf numFmtId="164" fontId="3" fillId="0" borderId="2" xfId="0" applyNumberFormat="1" applyFont="1" applyFill="1" applyBorder="1"/>
    <xf numFmtId="164" fontId="3" fillId="0" borderId="3" xfId="0" applyNumberFormat="1" applyFont="1" applyFill="1" applyBorder="1"/>
    <xf numFmtId="165" fontId="3" fillId="0" borderId="0" xfId="0" applyNumberFormat="1" applyFont="1"/>
    <xf numFmtId="0" fontId="3" fillId="0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1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14" sqref="H14"/>
    </sheetView>
  </sheetViews>
  <sheetFormatPr defaultRowHeight="12.75" x14ac:dyDescent="0.2"/>
  <cols>
    <col min="1" max="1" width="16.5703125" customWidth="1"/>
    <col min="2" max="2" width="35.85546875" customWidth="1"/>
    <col min="3" max="3" width="12.7109375" customWidth="1"/>
    <col min="4" max="4" width="14.140625" customWidth="1"/>
    <col min="5" max="7" width="7.7109375" customWidth="1"/>
    <col min="8" max="8" width="8.85546875" customWidth="1"/>
    <col min="9" max="11" width="7.7109375" customWidth="1"/>
    <col min="12" max="12" width="10.140625" customWidth="1"/>
    <col min="13" max="13" width="6.28515625" customWidth="1"/>
    <col min="14" max="14" width="11.28515625" customWidth="1"/>
    <col min="15" max="15" width="11.42578125" customWidth="1"/>
    <col min="19" max="22" width="0" hidden="1" customWidth="1"/>
    <col min="25" max="25" width="9.5703125" bestFit="1" customWidth="1"/>
    <col min="26" max="26" width="10" bestFit="1" customWidth="1"/>
    <col min="27" max="27" width="10.85546875" customWidth="1"/>
  </cols>
  <sheetData>
    <row r="1" spans="1:25" ht="20.25" x14ac:dyDescent="0.3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3" spans="1:25" s="1" customFormat="1" ht="61.15" customHeight="1" x14ac:dyDescent="0.2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4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13</v>
      </c>
      <c r="M3" s="5" t="s">
        <v>10</v>
      </c>
      <c r="N3" s="6" t="s">
        <v>12</v>
      </c>
      <c r="O3" s="21" t="s">
        <v>66</v>
      </c>
      <c r="P3" s="14" t="s">
        <v>30</v>
      </c>
      <c r="Q3" s="13" t="s">
        <v>24</v>
      </c>
      <c r="R3" s="13" t="s">
        <v>25</v>
      </c>
      <c r="S3" s="13" t="s">
        <v>26</v>
      </c>
      <c r="T3" s="13" t="s">
        <v>27</v>
      </c>
      <c r="U3" s="13" t="s">
        <v>28</v>
      </c>
      <c r="V3" s="13" t="s">
        <v>29</v>
      </c>
      <c r="W3" s="20" t="s">
        <v>45</v>
      </c>
      <c r="X3" s="20" t="s">
        <v>46</v>
      </c>
      <c r="Y3" s="1" t="s">
        <v>47</v>
      </c>
    </row>
    <row r="4" spans="1:25" s="9" customFormat="1" x14ac:dyDescent="0.2">
      <c r="A4" s="16" t="s">
        <v>11</v>
      </c>
      <c r="B4" s="16" t="s">
        <v>62</v>
      </c>
      <c r="C4" s="17">
        <v>900000</v>
      </c>
      <c r="D4" s="17">
        <v>130750000</v>
      </c>
      <c r="E4" s="18">
        <f t="shared" ref="E4:E31" si="0">1-(C4/D4)</f>
        <v>0.99311663479923518</v>
      </c>
      <c r="F4" s="27" t="s">
        <v>67</v>
      </c>
      <c r="G4" s="19"/>
      <c r="H4" s="19"/>
      <c r="I4" s="19"/>
      <c r="J4" s="19"/>
      <c r="K4" s="19"/>
      <c r="L4" s="19"/>
      <c r="M4" s="19"/>
      <c r="N4" s="7">
        <f>C4</f>
        <v>900000</v>
      </c>
      <c r="O4" s="7">
        <f>C4</f>
        <v>900000</v>
      </c>
      <c r="P4" s="9" t="s">
        <v>49</v>
      </c>
      <c r="Q4" s="9">
        <v>23900</v>
      </c>
      <c r="R4" s="9">
        <v>13700</v>
      </c>
      <c r="S4" s="9">
        <v>29500</v>
      </c>
      <c r="T4" s="9">
        <v>64700</v>
      </c>
      <c r="U4" s="9" t="e">
        <f>X35/Y35</f>
        <v>#DIV/0!</v>
      </c>
      <c r="V4" s="9">
        <f>R4/T4</f>
        <v>0.21174652241112829</v>
      </c>
      <c r="W4" s="9">
        <v>808</v>
      </c>
      <c r="X4" s="9">
        <v>1230</v>
      </c>
      <c r="Y4" s="26">
        <f t="shared" ref="Y4:Y31" si="1">W4/X4</f>
        <v>0.65691056910569101</v>
      </c>
    </row>
    <row r="5" spans="1:25" s="9" customFormat="1" x14ac:dyDescent="0.2">
      <c r="A5" s="7" t="s">
        <v>15</v>
      </c>
      <c r="B5" s="7" t="s">
        <v>61</v>
      </c>
      <c r="C5" s="11">
        <v>300000</v>
      </c>
      <c r="D5" s="11">
        <v>4098800</v>
      </c>
      <c r="E5" s="8">
        <f t="shared" si="0"/>
        <v>0.92680784619888745</v>
      </c>
      <c r="F5" s="10">
        <v>3</v>
      </c>
      <c r="G5" s="10">
        <v>10</v>
      </c>
      <c r="H5" s="10">
        <v>5</v>
      </c>
      <c r="I5" s="10">
        <v>15</v>
      </c>
      <c r="J5" s="10">
        <v>10</v>
      </c>
      <c r="K5" s="10">
        <v>15</v>
      </c>
      <c r="L5" s="10">
        <v>0</v>
      </c>
      <c r="M5" s="10">
        <f t="shared" ref="M5:M31" si="2">SUM(F5:L5)</f>
        <v>58</v>
      </c>
      <c r="N5" s="7">
        <f>C5+N4</f>
        <v>1200000</v>
      </c>
      <c r="O5" s="22">
        <f>C5+O4</f>
        <v>1200000</v>
      </c>
      <c r="P5" s="9" t="s">
        <v>34</v>
      </c>
      <c r="Q5" s="9">
        <v>10600</v>
      </c>
      <c r="R5" s="9">
        <v>10600</v>
      </c>
      <c r="S5">
        <f>24*(1033+885)</f>
        <v>46032</v>
      </c>
      <c r="T5" s="9">
        <f>S5</f>
        <v>46032</v>
      </c>
      <c r="U5">
        <f>V5</f>
        <v>0.2302745915884602</v>
      </c>
      <c r="V5" s="9">
        <f>R5/T5</f>
        <v>0.2302745915884602</v>
      </c>
      <c r="W5" s="9">
        <v>1028</v>
      </c>
      <c r="X5" s="9">
        <f>S5/24</f>
        <v>1918</v>
      </c>
      <c r="Y5" s="26">
        <f t="shared" si="1"/>
        <v>0.53597497393117832</v>
      </c>
    </row>
    <row r="6" spans="1:25" s="9" customFormat="1" x14ac:dyDescent="0.2">
      <c r="A6" s="7" t="s">
        <v>11</v>
      </c>
      <c r="B6" s="7" t="s">
        <v>57</v>
      </c>
      <c r="C6" s="11">
        <v>200000</v>
      </c>
      <c r="D6" s="11">
        <v>2070000</v>
      </c>
      <c r="E6" s="8">
        <f t="shared" si="0"/>
        <v>0.90338164251207731</v>
      </c>
      <c r="F6" s="10">
        <v>0</v>
      </c>
      <c r="G6" s="10">
        <v>10</v>
      </c>
      <c r="H6" s="10">
        <v>5</v>
      </c>
      <c r="I6" s="10">
        <v>0</v>
      </c>
      <c r="J6" s="10">
        <v>20</v>
      </c>
      <c r="K6" s="10">
        <v>15</v>
      </c>
      <c r="L6" s="10">
        <v>0</v>
      </c>
      <c r="M6" s="10">
        <f t="shared" si="2"/>
        <v>50</v>
      </c>
      <c r="N6" s="7">
        <f t="shared" ref="N6:N31" si="3">C6+N5</f>
        <v>1400000</v>
      </c>
      <c r="O6" s="22">
        <f>C6+O5</f>
        <v>1400000</v>
      </c>
      <c r="P6"/>
      <c r="Q6" s="9">
        <v>37960</v>
      </c>
      <c r="R6">
        <f>(37960+25220)/2</f>
        <v>31590</v>
      </c>
      <c r="S6"/>
      <c r="T6"/>
      <c r="U6"/>
      <c r="W6">
        <v>3700</v>
      </c>
      <c r="X6" s="9">
        <f>6200+6350</f>
        <v>12550</v>
      </c>
      <c r="Y6" s="26">
        <f t="shared" si="1"/>
        <v>0.29482071713147412</v>
      </c>
    </row>
    <row r="7" spans="1:25" s="9" customFormat="1" x14ac:dyDescent="0.2">
      <c r="A7" s="7" t="s">
        <v>39</v>
      </c>
      <c r="B7" s="7" t="s">
        <v>41</v>
      </c>
      <c r="C7" s="11">
        <v>3750000</v>
      </c>
      <c r="D7" s="11">
        <v>4717500</v>
      </c>
      <c r="E7" s="8">
        <f t="shared" si="0"/>
        <v>0.20508744038155802</v>
      </c>
      <c r="F7" s="10">
        <v>0</v>
      </c>
      <c r="G7" s="10">
        <v>0</v>
      </c>
      <c r="H7" s="10">
        <v>5</v>
      </c>
      <c r="I7" s="10">
        <v>20</v>
      </c>
      <c r="J7" s="10">
        <v>20</v>
      </c>
      <c r="K7" s="10">
        <v>5</v>
      </c>
      <c r="L7" s="10">
        <v>0</v>
      </c>
      <c r="M7" s="10">
        <f t="shared" si="2"/>
        <v>50</v>
      </c>
      <c r="N7" s="7">
        <f t="shared" si="3"/>
        <v>5150000</v>
      </c>
      <c r="O7" s="23"/>
      <c r="P7" t="s">
        <v>48</v>
      </c>
      <c r="Q7" s="9">
        <f>3400+6700+7500+6680</f>
        <v>24280</v>
      </c>
      <c r="R7">
        <f>24280/2+18320/2</f>
        <v>21300</v>
      </c>
      <c r="S7"/>
      <c r="T7"/>
      <c r="U7"/>
      <c r="W7">
        <f>550+270+730+320</f>
        <v>1870</v>
      </c>
      <c r="X7" s="9">
        <f>1132+1381+1381+1381</f>
        <v>5275</v>
      </c>
      <c r="Y7" s="26">
        <f t="shared" si="1"/>
        <v>0.35450236966824644</v>
      </c>
    </row>
    <row r="8" spans="1:25" s="9" customFormat="1" x14ac:dyDescent="0.2">
      <c r="A8" s="7" t="s">
        <v>15</v>
      </c>
      <c r="B8" s="7" t="s">
        <v>19</v>
      </c>
      <c r="C8" s="11">
        <v>808000</v>
      </c>
      <c r="D8" s="11">
        <v>1010000</v>
      </c>
      <c r="E8" s="8">
        <f t="shared" si="0"/>
        <v>0.19999999999999996</v>
      </c>
      <c r="F8" s="10">
        <v>0</v>
      </c>
      <c r="G8" s="10">
        <v>0</v>
      </c>
      <c r="H8" s="10">
        <v>5</v>
      </c>
      <c r="I8" s="10">
        <v>0</v>
      </c>
      <c r="J8" s="10">
        <v>20</v>
      </c>
      <c r="K8" s="10">
        <v>15</v>
      </c>
      <c r="L8" s="10">
        <v>5</v>
      </c>
      <c r="M8" s="10">
        <f t="shared" si="2"/>
        <v>45</v>
      </c>
      <c r="N8" s="7">
        <f t="shared" si="3"/>
        <v>5958000</v>
      </c>
      <c r="O8" s="3"/>
      <c r="Q8" s="9">
        <v>23300</v>
      </c>
      <c r="R8" s="9">
        <v>20700</v>
      </c>
      <c r="S8" s="9">
        <f>24*(1206+1850)</f>
        <v>73344</v>
      </c>
      <c r="T8" s="9">
        <v>77160</v>
      </c>
      <c r="U8" s="9">
        <f>20350/S8</f>
        <v>0.27745964223385688</v>
      </c>
      <c r="V8" s="9">
        <f>R8/T8</f>
        <v>0.26827371695178848</v>
      </c>
      <c r="W8" s="9">
        <v>1339</v>
      </c>
      <c r="X8" s="9">
        <f>1206+1850</f>
        <v>3056</v>
      </c>
      <c r="Y8" s="26">
        <f t="shared" si="1"/>
        <v>0.43815445026178013</v>
      </c>
    </row>
    <row r="9" spans="1:25" s="9" customFormat="1" x14ac:dyDescent="0.2">
      <c r="A9" s="7" t="s">
        <v>11</v>
      </c>
      <c r="B9" s="7" t="s">
        <v>56</v>
      </c>
      <c r="C9" s="11">
        <v>100000</v>
      </c>
      <c r="D9" s="11">
        <v>3208950</v>
      </c>
      <c r="E9" s="8">
        <f t="shared" si="0"/>
        <v>0.96883715857211861</v>
      </c>
      <c r="F9" s="10">
        <v>0</v>
      </c>
      <c r="G9" s="10">
        <v>10</v>
      </c>
      <c r="H9" s="10">
        <v>5</v>
      </c>
      <c r="I9" s="10">
        <v>0</v>
      </c>
      <c r="J9" s="10">
        <v>15</v>
      </c>
      <c r="K9" s="10">
        <v>5</v>
      </c>
      <c r="L9" s="10">
        <v>5</v>
      </c>
      <c r="M9" s="10">
        <f t="shared" si="2"/>
        <v>40</v>
      </c>
      <c r="N9" s="7">
        <f t="shared" si="3"/>
        <v>6058000</v>
      </c>
      <c r="O9" s="22">
        <f>C9+O6</f>
        <v>1500000</v>
      </c>
      <c r="P9"/>
      <c r="Q9" s="9">
        <v>18590</v>
      </c>
      <c r="R9">
        <f>Q9</f>
        <v>18590</v>
      </c>
      <c r="S9"/>
      <c r="T9"/>
      <c r="U9"/>
      <c r="W9">
        <v>2313</v>
      </c>
      <c r="X9" s="9">
        <f>1293+2575</f>
        <v>3868</v>
      </c>
      <c r="Y9" s="26">
        <f t="shared" si="1"/>
        <v>0.59798345398138575</v>
      </c>
    </row>
    <row r="10" spans="1:25" s="9" customFormat="1" x14ac:dyDescent="0.2">
      <c r="A10" s="7" t="s">
        <v>35</v>
      </c>
      <c r="B10" s="7" t="s">
        <v>52</v>
      </c>
      <c r="C10" s="11">
        <v>163000</v>
      </c>
      <c r="D10" s="11">
        <v>348156</v>
      </c>
      <c r="E10" s="8">
        <f t="shared" si="0"/>
        <v>0.53181906961247249</v>
      </c>
      <c r="F10" s="10">
        <v>0</v>
      </c>
      <c r="G10" s="10">
        <v>10</v>
      </c>
      <c r="H10" s="10">
        <v>5</v>
      </c>
      <c r="I10" s="10">
        <v>0</v>
      </c>
      <c r="J10" s="10">
        <v>3</v>
      </c>
      <c r="K10" s="10">
        <v>15</v>
      </c>
      <c r="L10" s="10">
        <v>5</v>
      </c>
      <c r="M10" s="10">
        <f t="shared" si="2"/>
        <v>38</v>
      </c>
      <c r="N10" s="7">
        <f t="shared" si="3"/>
        <v>6221000</v>
      </c>
      <c r="O10" s="22">
        <f>C10+O9</f>
        <v>1663000</v>
      </c>
      <c r="P10"/>
      <c r="Q10" s="9">
        <v>3100</v>
      </c>
      <c r="R10">
        <v>3100</v>
      </c>
      <c r="S10">
        <f>24*(239+1094)</f>
        <v>31992</v>
      </c>
      <c r="T10">
        <f>24*(239+1094)</f>
        <v>31992</v>
      </c>
      <c r="U10">
        <f t="shared" ref="U10:V12" si="4">Q10/S10</f>
        <v>9.6899224806201556E-2</v>
      </c>
      <c r="V10" s="9">
        <f t="shared" si="4"/>
        <v>9.6899224806201556E-2</v>
      </c>
      <c r="W10" s="9">
        <v>352</v>
      </c>
      <c r="X10" s="9">
        <f>S10/24</f>
        <v>1333</v>
      </c>
      <c r="Y10" s="26">
        <f t="shared" si="1"/>
        <v>0.26406601650412603</v>
      </c>
    </row>
    <row r="11" spans="1:25" s="9" customFormat="1" x14ac:dyDescent="0.2">
      <c r="A11" s="7" t="s">
        <v>35</v>
      </c>
      <c r="B11" s="7" t="s">
        <v>53</v>
      </c>
      <c r="C11" s="11">
        <v>270000</v>
      </c>
      <c r="D11" s="11">
        <v>571125</v>
      </c>
      <c r="E11" s="8">
        <f t="shared" si="0"/>
        <v>0.5272488509520683</v>
      </c>
      <c r="F11" s="10">
        <v>0</v>
      </c>
      <c r="G11" s="10">
        <v>10</v>
      </c>
      <c r="H11" s="10">
        <v>5</v>
      </c>
      <c r="I11" s="10">
        <v>0</v>
      </c>
      <c r="J11" s="10">
        <v>1</v>
      </c>
      <c r="K11" s="10">
        <v>15</v>
      </c>
      <c r="L11" s="10">
        <v>5</v>
      </c>
      <c r="M11" s="10">
        <f t="shared" si="2"/>
        <v>36</v>
      </c>
      <c r="N11" s="7">
        <f t="shared" si="3"/>
        <v>6491000</v>
      </c>
      <c r="O11" s="22">
        <f t="shared" ref="O11:O14" si="5">C11+O10</f>
        <v>1933000</v>
      </c>
      <c r="P11"/>
      <c r="Q11" s="9">
        <v>2600</v>
      </c>
      <c r="R11" s="9">
        <v>2180</v>
      </c>
      <c r="S11">
        <v>40000</v>
      </c>
      <c r="T11">
        <v>40000</v>
      </c>
      <c r="U11">
        <f t="shared" si="4"/>
        <v>6.5000000000000002E-2</v>
      </c>
      <c r="V11" s="9">
        <f t="shared" si="4"/>
        <v>5.45E-2</v>
      </c>
      <c r="W11" s="9">
        <v>288</v>
      </c>
      <c r="X11" s="9">
        <f>594+641</f>
        <v>1235</v>
      </c>
      <c r="Y11" s="26">
        <f t="shared" si="1"/>
        <v>0.23319838056680162</v>
      </c>
    </row>
    <row r="12" spans="1:25" s="9" customFormat="1" x14ac:dyDescent="0.2">
      <c r="A12" s="7" t="s">
        <v>35</v>
      </c>
      <c r="B12" s="7" t="s">
        <v>54</v>
      </c>
      <c r="C12" s="11">
        <v>300000</v>
      </c>
      <c r="D12" s="11">
        <v>696327</v>
      </c>
      <c r="E12" s="8">
        <f t="shared" si="0"/>
        <v>0.56916793403099408</v>
      </c>
      <c r="F12" s="10">
        <v>0</v>
      </c>
      <c r="G12" s="10">
        <v>10</v>
      </c>
      <c r="H12" s="10">
        <v>5</v>
      </c>
      <c r="I12" s="10">
        <v>0</v>
      </c>
      <c r="J12" s="10">
        <v>1</v>
      </c>
      <c r="K12" s="10">
        <v>15</v>
      </c>
      <c r="L12" s="10">
        <v>5</v>
      </c>
      <c r="M12" s="10">
        <f t="shared" si="2"/>
        <v>36</v>
      </c>
      <c r="N12" s="7">
        <f t="shared" si="3"/>
        <v>6791000</v>
      </c>
      <c r="O12" s="22">
        <f t="shared" si="5"/>
        <v>2233000</v>
      </c>
      <c r="P12"/>
      <c r="Q12" s="9">
        <v>1500</v>
      </c>
      <c r="R12">
        <v>1500</v>
      </c>
      <c r="S12">
        <f>24*(442+42)</f>
        <v>11616</v>
      </c>
      <c r="T12">
        <v>15000</v>
      </c>
      <c r="U12">
        <f t="shared" si="4"/>
        <v>0.12913223140495866</v>
      </c>
      <c r="V12" s="9">
        <f t="shared" si="4"/>
        <v>0.1</v>
      </c>
      <c r="W12" s="9">
        <v>132</v>
      </c>
      <c r="X12" s="9">
        <f>S12/24</f>
        <v>484</v>
      </c>
      <c r="Y12" s="26">
        <f t="shared" si="1"/>
        <v>0.27272727272727271</v>
      </c>
    </row>
    <row r="13" spans="1:25" x14ac:dyDescent="0.2">
      <c r="A13" s="7" t="s">
        <v>11</v>
      </c>
      <c r="B13" s="7" t="s">
        <v>55</v>
      </c>
      <c r="C13" s="11">
        <v>1170896</v>
      </c>
      <c r="D13" s="11">
        <v>3741282</v>
      </c>
      <c r="E13" s="8">
        <f t="shared" si="0"/>
        <v>0.68703348210586634</v>
      </c>
      <c r="F13" s="10">
        <v>0</v>
      </c>
      <c r="G13" s="10">
        <v>10</v>
      </c>
      <c r="H13" s="10">
        <v>10</v>
      </c>
      <c r="I13" s="10">
        <v>0</v>
      </c>
      <c r="J13" s="10">
        <v>1</v>
      </c>
      <c r="K13" s="10">
        <v>15</v>
      </c>
      <c r="L13" s="10">
        <v>0</v>
      </c>
      <c r="M13" s="10">
        <f t="shared" si="2"/>
        <v>36</v>
      </c>
      <c r="N13" s="7">
        <f t="shared" si="3"/>
        <v>7961896</v>
      </c>
      <c r="O13" s="22">
        <f t="shared" si="5"/>
        <v>3403896</v>
      </c>
      <c r="Q13" s="9">
        <f>1900+1900</f>
        <v>3800</v>
      </c>
      <c r="R13">
        <v>2800</v>
      </c>
      <c r="V13" s="9"/>
      <c r="W13">
        <v>161</v>
      </c>
      <c r="X13" s="9">
        <f>126+506</f>
        <v>632</v>
      </c>
      <c r="Y13" s="26">
        <f t="shared" si="1"/>
        <v>0.254746835443038</v>
      </c>
    </row>
    <row r="14" spans="1:25" x14ac:dyDescent="0.2">
      <c r="A14" s="7" t="s">
        <v>15</v>
      </c>
      <c r="B14" s="7" t="s">
        <v>59</v>
      </c>
      <c r="C14" s="11">
        <v>300000</v>
      </c>
      <c r="D14" s="11">
        <v>2640000</v>
      </c>
      <c r="E14" s="8">
        <f t="shared" si="0"/>
        <v>0.88636363636363635</v>
      </c>
      <c r="F14" s="10">
        <v>0</v>
      </c>
      <c r="G14" s="10">
        <v>10</v>
      </c>
      <c r="H14" s="10">
        <v>5</v>
      </c>
      <c r="I14" s="10">
        <v>0</v>
      </c>
      <c r="J14" s="10">
        <v>1</v>
      </c>
      <c r="K14" s="10">
        <v>5</v>
      </c>
      <c r="L14" s="10">
        <v>15</v>
      </c>
      <c r="M14" s="10">
        <f t="shared" si="2"/>
        <v>36</v>
      </c>
      <c r="N14" s="7">
        <f t="shared" si="3"/>
        <v>8261896</v>
      </c>
      <c r="O14" s="22">
        <f t="shared" si="5"/>
        <v>3703896</v>
      </c>
      <c r="Q14" s="9"/>
      <c r="R14">
        <v>1000</v>
      </c>
      <c r="V14" s="9"/>
      <c r="W14">
        <v>120</v>
      </c>
      <c r="X14" s="9">
        <v>1230</v>
      </c>
      <c r="Y14" s="26">
        <f t="shared" si="1"/>
        <v>9.7560975609756101E-2</v>
      </c>
    </row>
    <row r="15" spans="1:25" x14ac:dyDescent="0.2">
      <c r="A15" s="7" t="s">
        <v>15</v>
      </c>
      <c r="B15" s="7" t="s">
        <v>16</v>
      </c>
      <c r="C15" s="11">
        <v>1360000</v>
      </c>
      <c r="D15" s="11">
        <v>1700000</v>
      </c>
      <c r="E15" s="8">
        <f t="shared" si="0"/>
        <v>0.19999999999999996</v>
      </c>
      <c r="F15" s="10">
        <v>0</v>
      </c>
      <c r="G15" s="10">
        <v>0</v>
      </c>
      <c r="H15" s="10">
        <v>5</v>
      </c>
      <c r="I15" s="10">
        <v>0</v>
      </c>
      <c r="J15" s="10">
        <v>10</v>
      </c>
      <c r="K15" s="10">
        <v>15</v>
      </c>
      <c r="L15" s="10">
        <v>5</v>
      </c>
      <c r="M15" s="10">
        <f t="shared" si="2"/>
        <v>35</v>
      </c>
      <c r="N15" s="7">
        <f t="shared" si="3"/>
        <v>9621896</v>
      </c>
      <c r="O15" s="3"/>
      <c r="P15" s="9"/>
      <c r="Q15" s="9">
        <v>18900</v>
      </c>
      <c r="R15" s="9">
        <v>13400</v>
      </c>
      <c r="S15" s="9">
        <v>59700</v>
      </c>
      <c r="T15" s="15">
        <v>112700</v>
      </c>
      <c r="U15" s="9">
        <f>18900/59700</f>
        <v>0.3165829145728643</v>
      </c>
      <c r="V15" s="9">
        <f>R15/T15</f>
        <v>0.1188997338065661</v>
      </c>
      <c r="W15" s="9">
        <v>1206</v>
      </c>
      <c r="X15" s="9">
        <f>2488+849</f>
        <v>3337</v>
      </c>
      <c r="Y15" s="26">
        <f t="shared" si="1"/>
        <v>0.36140245729697335</v>
      </c>
    </row>
    <row r="16" spans="1:25" x14ac:dyDescent="0.2">
      <c r="A16" s="7" t="s">
        <v>20</v>
      </c>
      <c r="B16" s="7" t="s">
        <v>21</v>
      </c>
      <c r="C16" s="11">
        <v>598000</v>
      </c>
      <c r="D16" s="11">
        <v>747500</v>
      </c>
      <c r="E16" s="8">
        <f t="shared" si="0"/>
        <v>0.19999999999999996</v>
      </c>
      <c r="F16" s="10">
        <v>0</v>
      </c>
      <c r="G16" s="10">
        <v>0</v>
      </c>
      <c r="H16" s="10">
        <v>5</v>
      </c>
      <c r="I16" s="10">
        <v>0</v>
      </c>
      <c r="J16" s="10">
        <v>20</v>
      </c>
      <c r="K16" s="10">
        <v>5</v>
      </c>
      <c r="L16" s="10">
        <v>5</v>
      </c>
      <c r="M16" s="10">
        <f t="shared" si="2"/>
        <v>35</v>
      </c>
      <c r="N16" s="7">
        <f t="shared" si="3"/>
        <v>10219896</v>
      </c>
      <c r="O16" s="3"/>
      <c r="P16" s="9"/>
      <c r="Q16" s="9">
        <v>21250</v>
      </c>
      <c r="R16" s="9">
        <v>21250</v>
      </c>
      <c r="S16" s="9">
        <f>24*(1615+849)</f>
        <v>59136</v>
      </c>
      <c r="T16" s="9">
        <f>S16</f>
        <v>59136</v>
      </c>
      <c r="U16" s="9">
        <f>Q16/S16</f>
        <v>0.35934117965367968</v>
      </c>
      <c r="V16" s="9">
        <f>R16/T16</f>
        <v>0.35934117965367968</v>
      </c>
      <c r="W16" s="9">
        <v>1949</v>
      </c>
      <c r="X16" s="9">
        <f>S16/24</f>
        <v>2464</v>
      </c>
      <c r="Y16" s="26">
        <f t="shared" si="1"/>
        <v>0.79099025974025972</v>
      </c>
    </row>
    <row r="17" spans="1:25" x14ac:dyDescent="0.2">
      <c r="A17" s="7" t="s">
        <v>15</v>
      </c>
      <c r="B17" s="7" t="s">
        <v>50</v>
      </c>
      <c r="C17" s="11">
        <v>735000</v>
      </c>
      <c r="D17" s="11">
        <v>1305000</v>
      </c>
      <c r="E17" s="8">
        <f t="shared" si="0"/>
        <v>0.43678160919540232</v>
      </c>
      <c r="F17" s="10">
        <v>0</v>
      </c>
      <c r="G17" s="10">
        <v>5</v>
      </c>
      <c r="H17" s="10">
        <v>5</v>
      </c>
      <c r="I17" s="10">
        <v>0</v>
      </c>
      <c r="J17" s="10">
        <v>5</v>
      </c>
      <c r="K17" s="10">
        <v>5</v>
      </c>
      <c r="L17" s="10">
        <v>15</v>
      </c>
      <c r="M17" s="10">
        <f t="shared" si="2"/>
        <v>35</v>
      </c>
      <c r="N17" s="7">
        <f t="shared" si="3"/>
        <v>10954896</v>
      </c>
      <c r="O17" s="23"/>
      <c r="Q17" s="9"/>
      <c r="R17">
        <v>7700</v>
      </c>
      <c r="V17" s="9"/>
      <c r="W17">
        <v>824</v>
      </c>
      <c r="X17" s="9">
        <v>1230</v>
      </c>
      <c r="Y17" s="26">
        <f t="shared" si="1"/>
        <v>0.66991869918699187</v>
      </c>
    </row>
    <row r="18" spans="1:25" x14ac:dyDescent="0.2">
      <c r="A18" s="7" t="s">
        <v>15</v>
      </c>
      <c r="B18" s="7" t="s">
        <v>17</v>
      </c>
      <c r="C18" s="11">
        <v>4160000</v>
      </c>
      <c r="D18" s="11">
        <v>5600000</v>
      </c>
      <c r="E18" s="8">
        <f t="shared" si="0"/>
        <v>0.25714285714285712</v>
      </c>
      <c r="F18" s="10">
        <v>0</v>
      </c>
      <c r="G18" s="10">
        <v>0</v>
      </c>
      <c r="H18" s="10">
        <v>5</v>
      </c>
      <c r="I18" s="10">
        <v>5</v>
      </c>
      <c r="J18" s="10">
        <v>15</v>
      </c>
      <c r="K18" s="10">
        <v>5</v>
      </c>
      <c r="L18" s="10">
        <v>0</v>
      </c>
      <c r="M18" s="10">
        <f t="shared" si="2"/>
        <v>30</v>
      </c>
      <c r="N18" s="7">
        <f t="shared" si="3"/>
        <v>15114896</v>
      </c>
      <c r="O18" s="3"/>
      <c r="P18" s="9">
        <v>11.97</v>
      </c>
      <c r="Q18" s="9"/>
      <c r="R18" s="9">
        <f>5678+3419+6539+4238</f>
        <v>19874</v>
      </c>
      <c r="S18" s="9"/>
      <c r="T18" s="9">
        <f>24*(998+2488+1124+2488)</f>
        <v>170352</v>
      </c>
      <c r="U18" s="9"/>
      <c r="V18" s="9">
        <f>R18/T18</f>
        <v>0.11666431858739551</v>
      </c>
      <c r="W18" s="9">
        <f>771+230+713+215</f>
        <v>1929</v>
      </c>
      <c r="X18" s="9">
        <f>T18/24</f>
        <v>7098</v>
      </c>
      <c r="Y18" s="26">
        <f t="shared" si="1"/>
        <v>0.27176669484361793</v>
      </c>
    </row>
    <row r="19" spans="1:25" x14ac:dyDescent="0.2">
      <c r="A19" s="7" t="s">
        <v>15</v>
      </c>
      <c r="B19" s="7" t="s">
        <v>60</v>
      </c>
      <c r="C19" s="11">
        <v>280000</v>
      </c>
      <c r="D19" s="11">
        <v>560000</v>
      </c>
      <c r="E19" s="8">
        <f t="shared" si="0"/>
        <v>0.5</v>
      </c>
      <c r="F19" s="10">
        <v>0</v>
      </c>
      <c r="G19" s="10">
        <v>10</v>
      </c>
      <c r="H19" s="10">
        <v>5</v>
      </c>
      <c r="I19" s="10">
        <v>0</v>
      </c>
      <c r="J19" s="10">
        <v>5</v>
      </c>
      <c r="K19" s="10">
        <v>5</v>
      </c>
      <c r="L19" s="10">
        <v>5</v>
      </c>
      <c r="M19" s="10">
        <f t="shared" si="2"/>
        <v>30</v>
      </c>
      <c r="N19" s="7">
        <f t="shared" si="3"/>
        <v>15394896</v>
      </c>
      <c r="O19" s="7">
        <f>C19+O14</f>
        <v>3983896</v>
      </c>
      <c r="P19" s="9"/>
      <c r="Q19" s="9">
        <v>6400</v>
      </c>
      <c r="R19" s="9">
        <v>6400</v>
      </c>
      <c r="S19" s="9">
        <f>24*(1481+1335)</f>
        <v>67584</v>
      </c>
      <c r="T19" s="9">
        <f>S19</f>
        <v>67584</v>
      </c>
      <c r="U19" s="9">
        <f>V19</f>
        <v>9.4696969696969696E-2</v>
      </c>
      <c r="V19" s="9">
        <f>R19/T19</f>
        <v>9.4696969696969696E-2</v>
      </c>
      <c r="W19" s="9">
        <v>594</v>
      </c>
      <c r="X19" s="9">
        <f>S19/24</f>
        <v>2816</v>
      </c>
      <c r="Y19" s="26">
        <f t="shared" si="1"/>
        <v>0.2109375</v>
      </c>
    </row>
    <row r="20" spans="1:25" x14ac:dyDescent="0.2">
      <c r="A20" s="7" t="s">
        <v>15</v>
      </c>
      <c r="B20" s="7" t="s">
        <v>18</v>
      </c>
      <c r="C20" s="11">
        <v>1640000</v>
      </c>
      <c r="D20" s="11">
        <v>2768750</v>
      </c>
      <c r="E20" s="8">
        <f t="shared" si="0"/>
        <v>0.4076749435665914</v>
      </c>
      <c r="F20" s="10">
        <v>0</v>
      </c>
      <c r="G20" s="10">
        <v>5</v>
      </c>
      <c r="H20" s="10">
        <v>10</v>
      </c>
      <c r="I20" s="10">
        <v>0</v>
      </c>
      <c r="J20" s="10">
        <v>5</v>
      </c>
      <c r="K20" s="10">
        <v>5</v>
      </c>
      <c r="L20" s="10">
        <v>0</v>
      </c>
      <c r="M20" s="10">
        <f t="shared" si="2"/>
        <v>25</v>
      </c>
      <c r="N20" s="7">
        <f t="shared" si="3"/>
        <v>17034896</v>
      </c>
      <c r="O20" s="3"/>
      <c r="P20" s="9"/>
      <c r="Q20" s="9"/>
      <c r="R20" s="9">
        <v>8800</v>
      </c>
      <c r="S20" s="9"/>
      <c r="T20" s="9">
        <f>24*(1548+1381+1000)</f>
        <v>94296</v>
      </c>
      <c r="U20" s="9"/>
      <c r="V20" s="9">
        <f>R20/T20</f>
        <v>9.3323152625774161E-2</v>
      </c>
      <c r="W20" s="9">
        <f>819+25</f>
        <v>844</v>
      </c>
      <c r="X20" s="9">
        <f>T20/24</f>
        <v>3929</v>
      </c>
      <c r="Y20" s="26">
        <f t="shared" si="1"/>
        <v>0.21481292949860015</v>
      </c>
    </row>
    <row r="21" spans="1:25" x14ac:dyDescent="0.2">
      <c r="A21" s="7" t="s">
        <v>15</v>
      </c>
      <c r="B21" s="7" t="s">
        <v>22</v>
      </c>
      <c r="C21" s="11">
        <v>440000</v>
      </c>
      <c r="D21" s="11">
        <v>550000</v>
      </c>
      <c r="E21" s="8">
        <f t="shared" si="0"/>
        <v>0.19999999999999996</v>
      </c>
      <c r="F21" s="10">
        <v>0</v>
      </c>
      <c r="G21" s="10">
        <v>0</v>
      </c>
      <c r="H21" s="10">
        <v>5</v>
      </c>
      <c r="I21" s="10">
        <v>0</v>
      </c>
      <c r="J21" s="10">
        <v>10</v>
      </c>
      <c r="K21" s="10">
        <v>5</v>
      </c>
      <c r="L21" s="10">
        <v>5</v>
      </c>
      <c r="M21" s="10">
        <f t="shared" si="2"/>
        <v>25</v>
      </c>
      <c r="N21" s="7">
        <f t="shared" si="3"/>
        <v>17474896</v>
      </c>
      <c r="O21" s="3"/>
      <c r="P21" s="9"/>
      <c r="Q21" s="9">
        <v>13300</v>
      </c>
      <c r="R21" s="9">
        <v>13300</v>
      </c>
      <c r="S21" s="9">
        <f>24*(2575+1850)</f>
        <v>106200</v>
      </c>
      <c r="T21" s="9">
        <f>S21</f>
        <v>106200</v>
      </c>
      <c r="U21" s="9">
        <f>V21</f>
        <v>0.12523540489642185</v>
      </c>
      <c r="V21" s="9">
        <f>R21/T21</f>
        <v>0.12523540489642185</v>
      </c>
      <c r="W21" s="9">
        <v>1236</v>
      </c>
      <c r="X21" s="9">
        <f>S21/24</f>
        <v>4425</v>
      </c>
      <c r="Y21" s="26">
        <f t="shared" si="1"/>
        <v>0.27932203389830507</v>
      </c>
    </row>
    <row r="22" spans="1:25" x14ac:dyDescent="0.2">
      <c r="A22" s="7" t="s">
        <v>11</v>
      </c>
      <c r="B22" s="7" t="s">
        <v>36</v>
      </c>
      <c r="C22" s="11">
        <v>1386114</v>
      </c>
      <c r="D22" s="11">
        <v>1732643</v>
      </c>
      <c r="E22" s="8">
        <f t="shared" si="0"/>
        <v>0.20000023086117569</v>
      </c>
      <c r="F22" s="10">
        <v>0</v>
      </c>
      <c r="G22" s="10">
        <v>0</v>
      </c>
      <c r="H22" s="10">
        <v>5</v>
      </c>
      <c r="I22" s="10">
        <v>0</v>
      </c>
      <c r="J22" s="10">
        <v>10</v>
      </c>
      <c r="K22" s="10">
        <v>5</v>
      </c>
      <c r="L22" s="10">
        <v>5</v>
      </c>
      <c r="M22" s="10">
        <f t="shared" si="2"/>
        <v>25</v>
      </c>
      <c r="N22" s="7">
        <f t="shared" si="3"/>
        <v>18861010</v>
      </c>
      <c r="O22" s="23"/>
      <c r="Q22" s="9">
        <v>11400</v>
      </c>
      <c r="R22">
        <v>10240</v>
      </c>
      <c r="S22">
        <v>52180</v>
      </c>
      <c r="T22">
        <v>64200</v>
      </c>
      <c r="V22">
        <f>10240/64200</f>
        <v>0.15950155763239876</v>
      </c>
      <c r="W22">
        <v>949</v>
      </c>
      <c r="X22" s="9">
        <v>2174</v>
      </c>
      <c r="Y22" s="26">
        <f t="shared" si="1"/>
        <v>0.43652253909843608</v>
      </c>
    </row>
    <row r="23" spans="1:25" hidden="1" x14ac:dyDescent="0.2">
      <c r="A23" s="7" t="s">
        <v>44</v>
      </c>
      <c r="B23" s="7" t="s">
        <v>58</v>
      </c>
      <c r="C23" s="11">
        <v>3006457</v>
      </c>
      <c r="D23" s="11">
        <v>3006457</v>
      </c>
      <c r="E23" s="8">
        <f t="shared" si="0"/>
        <v>0</v>
      </c>
      <c r="F23" s="10">
        <v>0</v>
      </c>
      <c r="G23" s="10">
        <v>0</v>
      </c>
      <c r="H23" s="10">
        <v>5</v>
      </c>
      <c r="I23" s="10">
        <v>0</v>
      </c>
      <c r="J23" s="10">
        <v>0</v>
      </c>
      <c r="K23" s="10">
        <v>5</v>
      </c>
      <c r="L23" s="10">
        <v>15</v>
      </c>
      <c r="M23" s="10">
        <f t="shared" si="2"/>
        <v>25</v>
      </c>
      <c r="N23" s="7">
        <f t="shared" si="3"/>
        <v>21867467</v>
      </c>
      <c r="O23" s="22">
        <f>C23+O19</f>
        <v>6990353</v>
      </c>
      <c r="V23" s="9" t="e">
        <f>R23/T23</f>
        <v>#DIV/0!</v>
      </c>
      <c r="X23" s="9">
        <f>S23/24</f>
        <v>0</v>
      </c>
      <c r="Y23" s="26" t="e">
        <f t="shared" si="1"/>
        <v>#DIV/0!</v>
      </c>
    </row>
    <row r="24" spans="1:25" x14ac:dyDescent="0.2">
      <c r="A24" s="7" t="s">
        <v>11</v>
      </c>
      <c r="B24" s="7" t="s">
        <v>37</v>
      </c>
      <c r="C24" s="11">
        <v>3009600</v>
      </c>
      <c r="D24" s="11">
        <v>4104000</v>
      </c>
      <c r="E24" s="8">
        <f t="shared" si="0"/>
        <v>0.26666666666666672</v>
      </c>
      <c r="F24" s="10">
        <v>3</v>
      </c>
      <c r="G24" s="10">
        <v>0</v>
      </c>
      <c r="H24" s="10">
        <v>5</v>
      </c>
      <c r="I24" s="10">
        <v>0</v>
      </c>
      <c r="J24" s="10">
        <v>10</v>
      </c>
      <c r="K24" s="10">
        <v>5</v>
      </c>
      <c r="L24" s="10">
        <v>0</v>
      </c>
      <c r="M24" s="10">
        <f t="shared" si="2"/>
        <v>23</v>
      </c>
      <c r="N24" s="7">
        <f t="shared" si="3"/>
        <v>24877067</v>
      </c>
      <c r="O24" s="23"/>
      <c r="Q24" s="9">
        <v>11800</v>
      </c>
      <c r="R24">
        <v>11200</v>
      </c>
      <c r="V24" s="9"/>
      <c r="W24">
        <f>644+470</f>
        <v>1114</v>
      </c>
      <c r="X24" s="9">
        <f>1805+1319</f>
        <v>3124</v>
      </c>
      <c r="Y24" s="26">
        <f t="shared" si="1"/>
        <v>0.3565941101152369</v>
      </c>
    </row>
    <row r="25" spans="1:25" x14ac:dyDescent="0.2">
      <c r="A25" s="7" t="s">
        <v>20</v>
      </c>
      <c r="B25" s="7" t="s">
        <v>51</v>
      </c>
      <c r="C25" s="11">
        <v>495000</v>
      </c>
      <c r="D25" s="11">
        <v>618750</v>
      </c>
      <c r="E25" s="8">
        <f t="shared" si="0"/>
        <v>0.19999999999999996</v>
      </c>
      <c r="F25" s="10">
        <v>0</v>
      </c>
      <c r="G25" s="10">
        <v>0</v>
      </c>
      <c r="H25" s="10">
        <v>5</v>
      </c>
      <c r="I25" s="10">
        <v>0</v>
      </c>
      <c r="J25" s="10">
        <v>5</v>
      </c>
      <c r="K25" s="10">
        <v>5</v>
      </c>
      <c r="L25" s="10">
        <v>5</v>
      </c>
      <c r="M25" s="10">
        <f t="shared" si="2"/>
        <v>20</v>
      </c>
      <c r="N25" s="7">
        <f t="shared" si="3"/>
        <v>25372067</v>
      </c>
      <c r="O25" s="7">
        <f>C25+O23</f>
        <v>7485353</v>
      </c>
      <c r="P25" s="9"/>
      <c r="Q25" s="9">
        <v>7600</v>
      </c>
      <c r="R25" s="9">
        <v>5870</v>
      </c>
      <c r="S25" s="9">
        <f>24*(1335+1548)</f>
        <v>69192</v>
      </c>
      <c r="T25" s="9">
        <f>S25</f>
        <v>69192</v>
      </c>
      <c r="U25" s="9">
        <f>7600/T25</f>
        <v>0.10983928777893398</v>
      </c>
      <c r="V25" s="9">
        <f>R25/T25</f>
        <v>8.4836397271360844E-2</v>
      </c>
      <c r="W25" s="9">
        <v>482</v>
      </c>
      <c r="X25" s="9">
        <f>1381+39</f>
        <v>1420</v>
      </c>
      <c r="Y25" s="26">
        <f t="shared" si="1"/>
        <v>0.33943661971830985</v>
      </c>
    </row>
    <row r="26" spans="1:25" x14ac:dyDescent="0.2">
      <c r="A26" s="7" t="s">
        <v>39</v>
      </c>
      <c r="B26" s="7" t="s">
        <v>63</v>
      </c>
      <c r="C26" s="11">
        <v>552132</v>
      </c>
      <c r="D26" s="11">
        <v>690165</v>
      </c>
      <c r="E26" s="8">
        <f t="shared" si="0"/>
        <v>0.19999999999999996</v>
      </c>
      <c r="F26" s="10">
        <v>0</v>
      </c>
      <c r="G26" s="10">
        <v>0</v>
      </c>
      <c r="H26" s="10">
        <v>5</v>
      </c>
      <c r="I26" s="10">
        <v>0</v>
      </c>
      <c r="J26" s="10">
        <v>5</v>
      </c>
      <c r="K26" s="10">
        <v>5</v>
      </c>
      <c r="L26" s="10">
        <v>5</v>
      </c>
      <c r="M26" s="10">
        <f t="shared" si="2"/>
        <v>20</v>
      </c>
      <c r="N26" s="7">
        <f t="shared" si="3"/>
        <v>25924199</v>
      </c>
      <c r="O26" s="17">
        <f>C26+O25</f>
        <v>8037485</v>
      </c>
      <c r="Q26" s="9">
        <v>5940</v>
      </c>
      <c r="R26">
        <v>5940</v>
      </c>
      <c r="V26" s="9"/>
      <c r="W26">
        <v>589</v>
      </c>
      <c r="X26" s="9">
        <f>1487+749</f>
        <v>2236</v>
      </c>
      <c r="Y26" s="26">
        <f t="shared" si="1"/>
        <v>0.26341681574239711</v>
      </c>
    </row>
    <row r="27" spans="1:25" x14ac:dyDescent="0.2">
      <c r="A27" s="7" t="s">
        <v>39</v>
      </c>
      <c r="B27" s="7" t="s">
        <v>40</v>
      </c>
      <c r="C27" s="11">
        <v>769399</v>
      </c>
      <c r="D27" s="11">
        <v>961748</v>
      </c>
      <c r="E27" s="8">
        <f t="shared" si="0"/>
        <v>0.19999937613595242</v>
      </c>
      <c r="F27" s="10">
        <v>0</v>
      </c>
      <c r="G27" s="10">
        <v>0</v>
      </c>
      <c r="H27" s="10">
        <v>5</v>
      </c>
      <c r="I27" s="10">
        <v>0</v>
      </c>
      <c r="J27" s="10">
        <v>10</v>
      </c>
      <c r="K27" s="10">
        <v>5</v>
      </c>
      <c r="L27" s="10">
        <v>0</v>
      </c>
      <c r="M27" s="10">
        <f t="shared" si="2"/>
        <v>20</v>
      </c>
      <c r="N27" s="7">
        <f t="shared" si="3"/>
        <v>26693598</v>
      </c>
      <c r="O27" s="23"/>
      <c r="P27">
        <v>0.35</v>
      </c>
      <c r="Q27" s="9"/>
      <c r="R27">
        <f>2200+2500+2900+2400</f>
        <v>10000</v>
      </c>
      <c r="V27" s="9"/>
      <c r="W27">
        <f>241+311+207+276</f>
        <v>1035</v>
      </c>
      <c r="X27" s="9">
        <f>3376+1205+3376+1205</f>
        <v>9162</v>
      </c>
      <c r="Y27" s="26">
        <f t="shared" si="1"/>
        <v>0.11296660117878192</v>
      </c>
    </row>
    <row r="28" spans="1:25" x14ac:dyDescent="0.2">
      <c r="A28" s="7" t="s">
        <v>39</v>
      </c>
      <c r="B28" s="7" t="s">
        <v>42</v>
      </c>
      <c r="C28" s="11">
        <v>662770</v>
      </c>
      <c r="D28" s="11">
        <v>828460</v>
      </c>
      <c r="E28" s="8">
        <f t="shared" si="0"/>
        <v>0.19999758588223937</v>
      </c>
      <c r="F28" s="10">
        <v>0</v>
      </c>
      <c r="G28" s="10">
        <v>0</v>
      </c>
      <c r="H28" s="10">
        <v>5</v>
      </c>
      <c r="I28" s="10">
        <v>0</v>
      </c>
      <c r="J28" s="10">
        <v>10</v>
      </c>
      <c r="K28" s="10">
        <v>5</v>
      </c>
      <c r="L28" s="10">
        <v>0</v>
      </c>
      <c r="M28" s="10">
        <f t="shared" si="2"/>
        <v>20</v>
      </c>
      <c r="N28" s="7">
        <f t="shared" si="3"/>
        <v>27356368</v>
      </c>
      <c r="O28" s="23"/>
      <c r="P28">
        <v>1.36</v>
      </c>
      <c r="Q28" s="9"/>
      <c r="R28">
        <f>1300+7200+4100+500</f>
        <v>13100</v>
      </c>
      <c r="V28" s="9"/>
      <c r="W28">
        <f>605+675+133+50</f>
        <v>1463</v>
      </c>
      <c r="X28" s="9">
        <f>422+2405+1678+415</f>
        <v>4920</v>
      </c>
      <c r="Y28" s="26">
        <f t="shared" si="1"/>
        <v>0.29735772357723578</v>
      </c>
    </row>
    <row r="29" spans="1:25" x14ac:dyDescent="0.2">
      <c r="A29" s="7" t="s">
        <v>39</v>
      </c>
      <c r="B29" s="7" t="s">
        <v>64</v>
      </c>
      <c r="C29" s="11">
        <v>929471</v>
      </c>
      <c r="D29" s="11">
        <v>1161839</v>
      </c>
      <c r="E29" s="8">
        <f t="shared" si="0"/>
        <v>0.20000017214089039</v>
      </c>
      <c r="F29" s="10">
        <v>0</v>
      </c>
      <c r="G29" s="10">
        <v>0</v>
      </c>
      <c r="H29" s="10">
        <v>5</v>
      </c>
      <c r="I29" s="10">
        <v>0</v>
      </c>
      <c r="J29" s="10">
        <v>3</v>
      </c>
      <c r="K29" s="10">
        <v>5</v>
      </c>
      <c r="L29" s="10">
        <v>5</v>
      </c>
      <c r="M29" s="10">
        <f t="shared" si="2"/>
        <v>18</v>
      </c>
      <c r="N29" s="7">
        <f t="shared" si="3"/>
        <v>28285839</v>
      </c>
      <c r="O29" s="17">
        <f>C29+O26</f>
        <v>8966956</v>
      </c>
      <c r="Q29" s="9">
        <v>4500</v>
      </c>
      <c r="R29">
        <v>4250</v>
      </c>
      <c r="V29" s="9"/>
      <c r="W29">
        <v>351</v>
      </c>
      <c r="X29" s="9">
        <f>357+502</f>
        <v>859</v>
      </c>
      <c r="Y29" s="26">
        <f t="shared" si="1"/>
        <v>0.40861466821885911</v>
      </c>
    </row>
    <row r="30" spans="1:25" x14ac:dyDescent="0.2">
      <c r="A30" s="7" t="s">
        <v>11</v>
      </c>
      <c r="B30" s="7" t="s">
        <v>38</v>
      </c>
      <c r="C30" s="11">
        <v>528000</v>
      </c>
      <c r="D30" s="11">
        <v>660000</v>
      </c>
      <c r="E30" s="8">
        <f t="shared" si="0"/>
        <v>0.19999999999999996</v>
      </c>
      <c r="F30" s="10">
        <v>0</v>
      </c>
      <c r="G30" s="10">
        <v>0</v>
      </c>
      <c r="H30" s="10">
        <v>5</v>
      </c>
      <c r="I30" s="10">
        <v>0</v>
      </c>
      <c r="J30" s="10">
        <v>3</v>
      </c>
      <c r="K30" s="10">
        <v>5</v>
      </c>
      <c r="L30" s="10">
        <v>0</v>
      </c>
      <c r="M30" s="10">
        <f t="shared" si="2"/>
        <v>13</v>
      </c>
      <c r="N30" s="7">
        <f t="shared" si="3"/>
        <v>28813839</v>
      </c>
      <c r="O30" s="23"/>
      <c r="Q30" s="9"/>
      <c r="R30">
        <f>700+600+1800+200</f>
        <v>3300</v>
      </c>
      <c r="V30" s="9"/>
      <c r="W30">
        <f>90+70+70+20</f>
        <v>250</v>
      </c>
      <c r="X30" s="9">
        <f>131+904+904</f>
        <v>1939</v>
      </c>
      <c r="Y30" s="26">
        <f t="shared" si="1"/>
        <v>0.12893243940175347</v>
      </c>
    </row>
    <row r="31" spans="1:25" x14ac:dyDescent="0.2">
      <c r="A31" s="7" t="s">
        <v>39</v>
      </c>
      <c r="B31" s="7" t="s">
        <v>43</v>
      </c>
      <c r="C31" s="11">
        <v>510905</v>
      </c>
      <c r="D31" s="11">
        <v>638632</v>
      </c>
      <c r="E31" s="8">
        <f t="shared" si="0"/>
        <v>0.20000093950819875</v>
      </c>
      <c r="F31" s="10">
        <v>0</v>
      </c>
      <c r="G31" s="10">
        <v>0</v>
      </c>
      <c r="H31" s="10">
        <v>5</v>
      </c>
      <c r="I31" s="10">
        <v>0</v>
      </c>
      <c r="J31" s="10">
        <v>3</v>
      </c>
      <c r="K31" s="10">
        <v>5</v>
      </c>
      <c r="L31" s="10">
        <v>0</v>
      </c>
      <c r="M31" s="10">
        <f t="shared" si="2"/>
        <v>13</v>
      </c>
      <c r="N31" s="7">
        <f t="shared" si="3"/>
        <v>29324744</v>
      </c>
      <c r="O31" s="23"/>
      <c r="P31">
        <v>0.06</v>
      </c>
      <c r="Q31" s="9"/>
      <c r="R31">
        <f>1100+1200+600+600</f>
        <v>3500</v>
      </c>
      <c r="V31" s="9"/>
      <c r="W31">
        <f>63+138+65+135</f>
        <v>401</v>
      </c>
      <c r="X31" s="9">
        <f>554+415+487+487</f>
        <v>1943</v>
      </c>
      <c r="Y31" s="26">
        <f t="shared" si="1"/>
        <v>0.20638188368502317</v>
      </c>
    </row>
    <row r="32" spans="1:25" x14ac:dyDescent="0.2">
      <c r="A32" s="24" t="s">
        <v>14</v>
      </c>
    </row>
    <row r="33" spans="1:27" x14ac:dyDescent="0.2">
      <c r="A33" s="25" t="s">
        <v>65</v>
      </c>
    </row>
    <row r="34" spans="1:27" x14ac:dyDescent="0.2">
      <c r="E34" s="12"/>
    </row>
    <row r="35" spans="1:27" x14ac:dyDescent="0.2">
      <c r="E35" s="12"/>
    </row>
    <row r="36" spans="1:27" x14ac:dyDescent="0.2">
      <c r="E36" s="12"/>
      <c r="W36" s="9" t="s">
        <v>31</v>
      </c>
      <c r="X36" s="9" t="s">
        <v>32</v>
      </c>
      <c r="Y36" s="9" t="s">
        <v>33</v>
      </c>
    </row>
    <row r="37" spans="1:27" x14ac:dyDescent="0.2">
      <c r="W37">
        <v>2030</v>
      </c>
      <c r="X37">
        <v>10800</v>
      </c>
      <c r="Z37">
        <f>X37*W37</f>
        <v>21924000</v>
      </c>
      <c r="AA37">
        <f>Y37*W37</f>
        <v>0</v>
      </c>
    </row>
    <row r="38" spans="1:27" x14ac:dyDescent="0.2">
      <c r="W38">
        <v>1340</v>
      </c>
      <c r="X38">
        <v>11800</v>
      </c>
      <c r="Z38">
        <f t="shared" ref="Z38:Z49" si="6">X38*W38</f>
        <v>15812000</v>
      </c>
      <c r="AA38">
        <f t="shared" ref="AA38:AA49" si="7">Y38*W38</f>
        <v>0</v>
      </c>
    </row>
    <row r="39" spans="1:27" x14ac:dyDescent="0.2">
      <c r="Z39">
        <f t="shared" si="6"/>
        <v>0</v>
      </c>
      <c r="AA39">
        <f t="shared" si="7"/>
        <v>0</v>
      </c>
    </row>
    <row r="40" spans="1:27" x14ac:dyDescent="0.2">
      <c r="Z40">
        <f t="shared" si="6"/>
        <v>0</v>
      </c>
      <c r="AA40">
        <f t="shared" si="7"/>
        <v>0</v>
      </c>
    </row>
    <row r="41" spans="1:27" x14ac:dyDescent="0.2">
      <c r="Z41">
        <f t="shared" si="6"/>
        <v>0</v>
      </c>
      <c r="AA41">
        <f t="shared" si="7"/>
        <v>0</v>
      </c>
    </row>
    <row r="42" spans="1:27" x14ac:dyDescent="0.2">
      <c r="Z42">
        <f t="shared" si="6"/>
        <v>0</v>
      </c>
      <c r="AA42">
        <f t="shared" si="7"/>
        <v>0</v>
      </c>
    </row>
    <row r="43" spans="1:27" x14ac:dyDescent="0.2">
      <c r="Z43">
        <f t="shared" si="6"/>
        <v>0</v>
      </c>
      <c r="AA43">
        <f t="shared" si="7"/>
        <v>0</v>
      </c>
    </row>
    <row r="44" spans="1:27" x14ac:dyDescent="0.2">
      <c r="Z44">
        <f t="shared" si="6"/>
        <v>0</v>
      </c>
      <c r="AA44">
        <f t="shared" si="7"/>
        <v>0</v>
      </c>
    </row>
    <row r="45" spans="1:27" x14ac:dyDescent="0.2">
      <c r="Z45">
        <f t="shared" si="6"/>
        <v>0</v>
      </c>
      <c r="AA45">
        <f t="shared" si="7"/>
        <v>0</v>
      </c>
    </row>
    <row r="46" spans="1:27" x14ac:dyDescent="0.2">
      <c r="Z46">
        <f t="shared" si="6"/>
        <v>0</v>
      </c>
      <c r="AA46">
        <f t="shared" si="7"/>
        <v>0</v>
      </c>
    </row>
    <row r="47" spans="1:27" x14ac:dyDescent="0.2">
      <c r="Z47">
        <f t="shared" si="6"/>
        <v>0</v>
      </c>
      <c r="AA47">
        <f t="shared" si="7"/>
        <v>0</v>
      </c>
    </row>
    <row r="48" spans="1:27" x14ac:dyDescent="0.2">
      <c r="Z48">
        <f t="shared" si="6"/>
        <v>0</v>
      </c>
      <c r="AA48">
        <f t="shared" si="7"/>
        <v>0</v>
      </c>
    </row>
    <row r="49" spans="23:27" x14ac:dyDescent="0.2">
      <c r="Z49">
        <f t="shared" si="6"/>
        <v>0</v>
      </c>
      <c r="AA49">
        <f t="shared" si="7"/>
        <v>0</v>
      </c>
    </row>
    <row r="50" spans="23:27" x14ac:dyDescent="0.2">
      <c r="W50">
        <f>SUM(W37:W49)</f>
        <v>3370</v>
      </c>
      <c r="X50">
        <f t="shared" ref="X50:Y50" si="8">SUM(X37:X49)</f>
        <v>22600</v>
      </c>
      <c r="Y50">
        <f t="shared" si="8"/>
        <v>0</v>
      </c>
      <c r="Z50">
        <f t="shared" ref="Z50" si="9">SUM(Z37:Z49)</f>
        <v>37736000</v>
      </c>
      <c r="AA50">
        <f t="shared" ref="AA50" si="10">SUM(AA37:AA49)</f>
        <v>0</v>
      </c>
    </row>
    <row r="51" spans="23:27" x14ac:dyDescent="0.2">
      <c r="Z51">
        <f>Z50/W50</f>
        <v>11197.626112759644</v>
      </c>
      <c r="AA51">
        <f>AA50/W50</f>
        <v>0</v>
      </c>
    </row>
  </sheetData>
  <sortState ref="A4:Y31">
    <sortCondition descending="1" ref="M4:M31"/>
  </sortState>
  <mergeCells count="1">
    <mergeCell ref="A1:O1"/>
  </mergeCells>
  <phoneticPr fontId="2" type="noConversion"/>
  <pageMargins left="0.25" right="0.25" top="0.75" bottom="0.75" header="0.3" footer="0.3"/>
  <pageSetup paperSize="5" orientation="landscape" r:id="rId1"/>
  <headerFooter alignWithMargins="0">
    <oddFooter>&amp;L&amp;D&amp;RDraft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Stark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Regional Planning</dc:creator>
  <cp:lastModifiedBy>Dan K. Slicker</cp:lastModifiedBy>
  <cp:lastPrinted>2021-08-27T17:23:57Z</cp:lastPrinted>
  <dcterms:created xsi:type="dcterms:W3CDTF">2014-05-28T14:15:18Z</dcterms:created>
  <dcterms:modified xsi:type="dcterms:W3CDTF">2021-08-27T17:25:47Z</dcterms:modified>
</cp:coreProperties>
</file>